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165" windowWidth="14565" windowHeight="9285" tabRatio="87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<sst xmlns="http://schemas.openxmlformats.org/spreadsheetml/2006/main" count="1064" uniqueCount="871">
  <si>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</si>
  <si>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</si>
  <si>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</si>
  <si>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</si>
  <si>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</si>
  <si>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</si>
  <si>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</si>
  <si>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</si>
  <si>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</si>
  <si>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</si>
  <si>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</si>
  <si>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</si>
  <si>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</si>
  <si>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</si>
  <si>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</si>
  <si>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</si>
  <si>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</si>
  <si>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</si>
  <si>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</si>
  <si>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</si>
  <si>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</si>
  <si>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</si>
  <si>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</si>
  <si>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</si>
  <si>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</si>
  <si>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</si>
  <si>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</si>
  <si>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</si>
  <si>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</si>
  <si>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</si>
  <si>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</si>
  <si>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</si>
  <si>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</si>
  <si>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</si>
  <si>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</si>
  <si>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</si>
  <si>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</si>
  <si>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</si>
  <si>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</si>
  <si>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</si>
  <si>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</si>
  <si>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</si>
  <si>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</si>
  <si>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</si>
  <si>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</si>
  <si>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</si>
  <si>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</si>
  <si>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</si>
  <si>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</si>
  <si>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</si>
  <si>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</si>
  <si>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</si>
  <si>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</si>
  <si>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</si>
  <si>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</si>
  <si>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</si>
  <si>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</si>
  <si>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</si>
  <si>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</si>
  <si>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</si>
  <si>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</si>
  <si>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</si>
  <si>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</si>
  <si>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</si>
  <si>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</si>
  <si>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</si>
  <si>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</si>
  <si>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</si>
  <si>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</si>
  <si>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</si>
  <si>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</si>
  <si>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</si>
  <si>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</si>
  <si>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</si>
  <si>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</si>
  <si>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</si>
  <si>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</si>
  <si>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</si>
  <si>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</si>
  <si>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</si>
  <si>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</si>
  <si>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</si>
  <si>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</si>
  <si>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</si>
  <si>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</si>
  <si>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</si>
  <si>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</si>
  <si>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</si>
  <si>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</si>
  <si>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</si>
  <si>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</si>
  <si>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</si>
  <si>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</si>
  <si>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</si>
  <si>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</si>
  <si>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</si>
  <si>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</si>
  <si>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</si>
  <si>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</si>
  <si>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</si>
  <si>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</si>
  <si>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</si>
  <si>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</si>
  <si>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</si>
  <si>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</si>
  <si>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</si>
  <si>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</si>
  <si>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</si>
  <si>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</si>
  <si>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</si>
  <si>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</si>
  <si>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</si>
  <si>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</si>
  <si>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</si>
  <si>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</si>
  <si>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</si>
  <si>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</si>
  <si>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</si>
  <si>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</si>
  <si>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</si>
  <si>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</si>
  <si>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</si>
  <si>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</si>
  <si>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</si>
  <si>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</si>
  <si>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</si>
  <si>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</si>
  <si>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</si>
  <si>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</si>
  <si>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</si>
  <si>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</si>
  <si>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</si>
  <si>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</si>
  <si>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</si>
  <si>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</si>
  <si>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</si>
  <si>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</si>
  <si>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</si>
  <si>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</si>
  <si>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</si>
  <si>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</si>
  <si>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</si>
  <si>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</si>
  <si>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</si>
  <si>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</si>
  <si>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</si>
  <si>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</si>
  <si>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</si>
  <si>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</si>
  <si>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</si>
  <si>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</si>
  <si>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</si>
  <si>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</si>
  <si>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</si>
  <si>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</si>
  <si>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</si>
  <si>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</si>
  <si>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</si>
  <si>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</si>
  <si>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</si>
  <si>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</si>
  <si>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</si>
  <si>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</si>
  <si>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</si>
  <si>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</si>
  <si>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</si>
  <si>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</si>
  <si>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</si>
  <si>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</si>
  <si>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</si>
  <si>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</si>
  <si>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</si>
  <si>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</si>
  <si>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</si>
  <si>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</si>
  <si>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</si>
  <si>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</si>
  <si>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</si>
  <si>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</si>
  <si>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</si>
  <si>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</si>
  <si>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</si>
  <si>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</si>
  <si>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</si>
  <si>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</si>
  <si>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</si>
  <si>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</si>
  <si>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</si>
  <si>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</si>
  <si>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</si>
  <si>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</si>
  <si>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</si>
  <si>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</si>
  <si>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</si>
  <si>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</si>
  <si>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</si>
  <si>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</si>
  <si>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</si>
  <si>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</si>
  <si>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</si>
  <si>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</si>
  <si>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</si>
  <si>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</si>
  <si>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</si>
  <si>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</si>
  <si>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</si>
  <si>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</si>
  <si>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</si>
  <si>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</si>
  <si>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</si>
  <si>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</si>
  <si>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</si>
  <si>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</si>
  <si>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</si>
  <si>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</si>
  <si>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</si>
  <si>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</si>
  <si>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</si>
  <si>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</si>
  <si>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</si>
  <si>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</si>
  <si>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</si>
  <si>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</si>
  <si>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</si>
  <si>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</si>
  <si>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</si>
  <si>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</si>
  <si>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</si>
  <si>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</si>
  <si>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</si>
  <si>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</si>
  <si>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</si>
  <si>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</si>
  <si>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</si>
  <si>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</si>
  <si>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</si>
  <si>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</si>
  <si>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</si>
  <si>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</si>
  <si>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</si>
  <si>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</si>
  <si>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</si>
  <si>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</si>
  <si>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</si>
  <si>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</si>
  <si>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</si>
  <si>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</si>
  <si>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</si>
  <si>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</si>
  <si>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</si>
  <si>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</si>
  <si>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</si>
  <si>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</si>
  <si>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</si>
  <si>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</si>
  <si>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</si>
  <si>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</si>
  <si>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</si>
  <si>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</si>
  <si>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</si>
  <si>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</si>
  <si>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</si>
  <si>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</si>
  <si>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</si>
  <si>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</si>
  <si>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</si>
  <si>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</si>
  <si>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</si>
  <si>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</si>
  <si>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</si>
  <si>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</si>
  <si>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</si>
  <si>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</si>
  <si>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</si>
  <si>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</si>
  <si>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</si>
  <si>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</si>
  <si>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</si>
  <si>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</si>
  <si>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</si>
  <si>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</si>
  <si>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</si>
  <si>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</si>
  <si>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</si>
  <si>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</si>
  <si>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</si>
  <si>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</si>
  <si>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</si>
  <si>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</si>
  <si>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</si>
  <si>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</si>
  <si>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</si>
  <si>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</si>
  <si>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</si>
  <si>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</si>
  <si>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</si>
  <si>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</si>
  <si>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</si>
  <si>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</si>
  <si>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</si>
  <si>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</si>
  <si>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</si>
  <si>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</si>
  <si>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</si>
  <si>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</si>
  <si>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</si>
  <si>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</si>
  <si>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</si>
  <si>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</si>
  <si>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</si>
  <si>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</si>
  <si>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</si>
  <si>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</si>
  <si>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</si>
  <si>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</si>
  <si>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</si>
  <si>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</si>
  <si>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</si>
  <si>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</si>
  <si>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</si>
  <si>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</si>
  <si>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</si>
  <si>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</si>
  <si>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</si>
  <si>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</si>
  <si>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</si>
  <si>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</si>
  <si>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</si>
  <si>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</si>
  <si>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</si>
  <si>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</si>
  <si>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</si>
  <si>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</si>
  <si>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</si>
  <si>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</si>
  <si>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</si>
  <si>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</si>
  <si>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</si>
  <si>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</si>
  <si>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</si>
  <si>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</si>
  <si>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</si>
  <si>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</si>
  <si>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</si>
  <si>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</si>
  <si>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</si>
  <si>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</si>
  <si>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</si>
  <si>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</si>
  <si>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</si>
  <si>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</si>
  <si>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</si>
  <si>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</si>
  <si>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</si>
  <si>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</si>
  <si>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</si>
  <si>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</si>
  <si>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</si>
  <si>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</si>
  <si>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</si>
  <si>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</si>
  <si>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</si>
  <si>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</si>
  <si>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</si>
  <si>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</si>
  <si>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</si>
  <si>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</si>
  <si>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</si>
  <si>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</si>
  <si>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</si>
  <si>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</si>
  <si>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</si>
  <si>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</si>
  <si>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</si>
  <si>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</si>
  <si>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</si>
  <si>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</si>
  <si>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</si>
  <si>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</si>
  <si>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</si>
  <si>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</si>
  <si>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</si>
  <si>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</si>
  <si>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</si>
  <si>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</si>
  <si>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</si>
  <si>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</si>
  <si>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</si>
  <si>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</si>
  <si>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</si>
  <si>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</si>
  <si>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</si>
  <si>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</si>
  <si>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</si>
  <si>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</si>
  <si>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</si>
  <si>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</si>
  <si>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</si>
  <si>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</si>
  <si>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</si>
  <si>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</si>
  <si>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</si>
  <si>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</si>
  <si>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</si>
  <si>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</si>
  <si>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</si>
  <si>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</si>
  <si>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</si>
  <si>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</si>
  <si>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</si>
  <si>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</si>
  <si>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</si>
  <si>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</si>
  <si>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</si>
  <si>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</si>
  <si>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</si>
  <si>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</si>
  <si>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</si>
  <si>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</si>
  <si>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</si>
  <si>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</si>
  <si>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</si>
  <si>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</si>
  <si>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</si>
  <si>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</si>
  <si>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</si>
  <si>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</si>
  <si>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</si>
  <si>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</si>
  <si>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</si>
  <si>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</si>
  <si>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</si>
  <si>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</si>
  <si>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</si>
  <si>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</si>
  <si>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</si>
  <si>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</si>
  <si>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</si>
  <si>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</si>
  <si>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</si>
  <si>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</si>
  <si>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</si>
  <si>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</si>
  <si>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</si>
  <si>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</si>
  <si>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</si>
  <si>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</si>
  <si>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</si>
  <si>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</si>
  <si>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</si>
  <si>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</si>
  <si>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</si>
  <si>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</si>
  <si>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</si>
  <si>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</si>
  <si>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</si>
  <si>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</si>
  <si>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</si>
  <si>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</si>
  <si>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</si>
  <si>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</si>
  <si>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</si>
  <si>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</si>
  <si>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</si>
  <si>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</si>
  <si>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</si>
  <si>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</si>
  <si>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</si>
  <si>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</si>
  <si>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</si>
  <si>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</si>
  <si>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</si>
  <si>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</si>
  <si>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</si>
  <si>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</si>
  <si>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</si>
  <si>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</si>
  <si>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</si>
  <si>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</si>
  <si>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</si>
  <si>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</si>
  <si>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</si>
  <si>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</si>
  <si>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</si>
  <si>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</si>
  <si>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</si>
  <si>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</si>
  <si>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</si>
  <si>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</si>
  <si>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</si>
  <si>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</si>
  <si>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</si>
  <si>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</si>
  <si>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</si>
  <si>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</si>
  <si>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</si>
  <si>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</si>
  <si>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</si>
  <si>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</si>
  <si>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</si>
  <si>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</si>
  <si>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</si>
  <si>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</si>
  <si>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</si>
  <si>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</si>
  <si>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</si>
  <si>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</si>
  <si>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</si>
  <si>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</si>
  <si>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</si>
  <si>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</si>
  <si>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</si>
  <si>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</si>
  <si>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</si>
  <si>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</si>
  <si>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</si>
  <si>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</si>
  <si>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</si>
  <si>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</si>
  <si>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</si>
  <si>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</si>
  <si>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</si>
  <si>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</si>
  <si>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</si>
  <si>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</si>
  <si>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</si>
  <si>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</si>
  <si>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</si>
  <si>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</si>
  <si>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</si>
  <si>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</si>
  <si>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</si>
  <si>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</si>
  <si>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</si>
  <si>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</si>
  <si>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</si>
  <si>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</si>
  <si>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</si>
  <si>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</si>
  <si>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</si>
  <si>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</si>
  <si>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</si>
  <si>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</si>
  <si>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</si>
  <si>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</si>
  <si>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</si>
  <si>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</si>
  <si>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</si>
  <si>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</si>
  <si>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</si>
  <si>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</si>
  <si>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</si>
  <si>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</si>
  <si>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</si>
  <si>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</si>
  <si>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</si>
  <si>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</si>
  <si>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</si>
  <si>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</si>
  <si>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</si>
  <si>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</si>
  <si>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</si>
  <si>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</si>
  <si>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</si>
  <si>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</si>
  <si>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</si>
  <si>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</si>
  <si>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</si>
  <si>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</si>
  <si>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</si>
  <si>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</si>
  <si>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</si>
  <si>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</si>
  <si>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</si>
  <si>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</si>
  <si>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</si>
  <si>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</si>
  <si>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</si>
  <si>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</si>
  <si>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</si>
  <si>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</si>
  <si>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</si>
  <si>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</si>
  <si>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</si>
  <si>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</si>
  <si>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</si>
  <si>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</si>
  <si>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</si>
  <si>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</si>
  <si>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</si>
  <si>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</si>
  <si>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</si>
  <si>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</si>
  <si>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</si>
  <si>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</si>
  <si>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</si>
  <si>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</si>
  <si>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</si>
  <si>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</si>
  <si>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</si>
  <si>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</si>
  <si>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</si>
  <si>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</si>
  <si>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</si>
  <si>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</si>
  <si>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</si>
  <si>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</si>
  <si>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</si>
  <si>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</si>
  <si>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</si>
  <si>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</si>
  <si>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</si>
  <si>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</si>
  <si>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</si>
  <si>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</si>
  <si>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</si>
  <si>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</si>
  <si>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</si>
  <si>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</si>
  <si>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</si>
  <si>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</si>
  <si>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</si>
  <si>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</si>
  <si>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</si>
  <si>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</si>
  <si>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</si>
  <si>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</si>
  <si>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</si>
  <si>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</si>
  <si>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</si>
  <si>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</si>
  <si>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</si>
  <si>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</si>
  <si>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</si>
  <si>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</si>
  <si>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</si>
  <si>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</si>
  <si>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</si>
  <si>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</si>
  <si>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</si>
  <si>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</si>
  <si>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</si>
  <si>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</si>
  <si>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</si>
  <si>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</si>
  <si>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</si>
  <si>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</si>
  <si>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</si>
  <si>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</si>
  <si>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</si>
  <si>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</si>
  <si>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</si>
  <si>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</si>
  <si>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</si>
  <si>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</si>
  <si>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</si>
  <si>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</si>
  <si>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</si>
  <si>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</si>
  <si>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</si>
  <si>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</si>
  <si>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</si>
  <si>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</si>
  <si>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</si>
  <si>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</si>
  <si>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</si>
  <si>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</si>
  <si>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</si>
  <si>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</si>
  <si>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</si>
  <si>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</si>
  <si>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</si>
  <si>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</si>
  <si>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</si>
  <si>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</si>
  <si>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</si>
  <si>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</si>
  <si>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</si>
  <si>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</si>
  <si>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</si>
  <si>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</si>
  <si>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</si>
  <si>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</si>
  <si>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</si>
  <si>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</si>
  <si>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</si>
  <si>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</si>
  <si>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</si>
  <si>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</si>
  <si>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</si>
  <si>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</si>
  <si>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</si>
  <si>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</si>
  <si>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</si>
  <si>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</si>
  <si>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</si>
  <si>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</si>
  <si>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</si>
  <si>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</si>
  <si>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</si>
  <si>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</si>
  <si>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</si>
  <si>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</si>
  <si>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</si>
  <si>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</si>
  <si>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</si>
  <si>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</si>
  <si>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</si>
  <si>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</si>
  <si>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</si>
  <si>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</si>
  <si>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</si>
  <si>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</si>
  <si>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</si>
  <si>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</si>
  <si>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</si>
  <si>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</si>
  <si>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</si>
  <si>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</si>
  <si>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</si>
  <si>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</si>
  <si>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</si>
  <si>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</si>
  <si>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</si>
  <si>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</si>
  <si>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</si>
  <si>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</si>
  <si>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</si>
  <si>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</si>
  <si>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</si>
  <si>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</si>
  <si>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</si>
  <si>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</si>
  <si>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</si>
  <si>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</si>
  <si>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</si>
  <si>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</si>
  <si>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</si>
  <si>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</si>
  <si>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</si>
  <si>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</si>
  <si>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</si>
  <si>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</si>
  <si>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</si>
  <si>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</si>
  <si>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</si>
  <si>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</si>
  <si>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</si>
  <si>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</si>
  <si>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</si>
  <si>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</si>
  <si>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</si>
  <si>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</si>
  <si>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</si>
  <si>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</si>
  <si>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</si>
  <si>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</si>
  <si>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</si>
  <si>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</si>
  <si>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</si>
  <si>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</si>
  <si>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</si>
  <si>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</si>
  <si>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</si>
  <si>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</si>
  <si>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</si>
  <si>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</si>
  <si>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</si>
  <si>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</si>
  <si>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</si>
  <si>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</si>
  <si>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</si>
  <si>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</si>
  <si>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</si>
  <si>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</si>
  <si>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</si>
  <si>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</si>
  <si>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</si>
  <si>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</si>
  <si>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</si>
  <si>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</si>
  <si>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</si>
  <si>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</si>
  <si>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</si>
  <si>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</si>
  <si>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</si>
  <si>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</si>
  <si>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</si>
  <si>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</si>
  <si>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</si>
  <si>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</si>
  <si>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</si>
  <si>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</si>
  <si>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</si>
  <si>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</si>
  <si>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</si>
  <si>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</si>
  <si>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</si>
  <si>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</si>
  <si>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</si>
  <si>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</si>
  <si>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</si>
  <si>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</si>
  <si>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</si>
  <si>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</si>
  <si>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</si>
  <si>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</si>
  <si>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</si>
  <si>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</si>
  <si>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</si>
  <si>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</si>
  <si>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</si>
  <si>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</si>
  <si>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</si>
  <si>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</si>
  <si>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</si>
  <si>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</si>
  <si>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</si>
  <si>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</si>
  <si>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</si>
  <si>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</si>
  <si>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</si>
  <si>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</si>
  <si>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</si>
  <si>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</si>
  <si>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</si>
  <si>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</si>
  <si>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</si>
  <si>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</si>
  <si>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</si>
  <si>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</si>
  <si>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</si>
  <si>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</si>
  <si>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</si>
  <si>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</si>
  <si>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</si>
  <si>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</si>
  <si>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</si>
  <si>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</si>
  <si>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</si>
  <si>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</si>
  <si>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</si>
  <si>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</si>
  <si>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</si>
  <si>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</si>
  <si>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</si>
  <si>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</si>
  <si>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</si>
  <si>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</si>
  <si>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</si>
  <si>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</si>
  <si>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</si>
  <si>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</si>
  <si>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</si>
  <si>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</si>
  <si>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</si>
  <si>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</si>
  <si>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</si>
  <si>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</si>
  <si>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</si>
  <si>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на съставяне: 16.05.2016                      </t>
  </si>
  <si>
    <t xml:space="preserve">                                    Съставител: Л.Стамова                         </t>
  </si>
  <si>
    <t>Ръководител: Щ.Стоянов</t>
  </si>
  <si>
    <t>ТОПЛИВО АД</t>
  </si>
  <si>
    <t>КОНСОЛИДИРАН</t>
  </si>
  <si>
    <t>01.01-31.03.2016г.</t>
  </si>
  <si>
    <t>Съставител: Л.Стамова</t>
  </si>
  <si>
    <t>Л.Стамова</t>
  </si>
  <si>
    <t>Щ.Стоянов</t>
  </si>
  <si>
    <t xml:space="preserve"> Ръководител: Щ.Стоянов</t>
  </si>
  <si>
    <t xml:space="preserve">Дата  на съставяне:30.04.2016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</si>
</sst>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1" fontId="22" fillId="34" borderId="10" xfId="41" applyNumberFormat="1" applyFont="1" applyFill="1" applyBorder="1" applyProtection="1">
      <alignment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27" sqref="G2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831924394</v>
      </c>
    </row>
    <row r="4" spans="1:8" ht="15">
      <c r="A4" s="576" t="s">
        <v>3</v>
      </c>
      <c r="B4" s="581"/>
      <c r="C4" s="581"/>
      <c r="D4" s="581"/>
      <c r="E4" s="504" t="s">
        <v>864</v>
      </c>
      <c r="F4" s="578" t="s">
        <v>4</v>
      </c>
      <c r="G4" s="579"/>
      <c r="H4" s="461">
        <v>256</v>
      </c>
    </row>
    <row r="5" spans="1:8" ht="15">
      <c r="A5" s="576" t="s">
        <v>5</v>
      </c>
      <c r="B5" s="577"/>
      <c r="C5" s="577"/>
      <c r="D5" s="577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43955</v>
      </c>
      <c r="D11" s="151">
        <v>36909</v>
      </c>
      <c r="E11" s="237" t="s">
        <v>22</v>
      </c>
      <c r="F11" s="242" t="s">
        <v>23</v>
      </c>
      <c r="G11" s="152">
        <f>6517-1100</f>
        <v>5417</v>
      </c>
      <c r="H11" s="152">
        <v>5417</v>
      </c>
    </row>
    <row r="12" spans="1:8" ht="15">
      <c r="A12" s="235" t="s">
        <v>24</v>
      </c>
      <c r="B12" s="241" t="s">
        <v>25</v>
      </c>
      <c r="C12" s="151">
        <v>19091</v>
      </c>
      <c r="D12" s="151">
        <v>15644</v>
      </c>
      <c r="E12" s="237" t="s">
        <v>26</v>
      </c>
      <c r="F12" s="242" t="s">
        <v>27</v>
      </c>
      <c r="G12" s="153">
        <f>6517-1100</f>
        <v>5417</v>
      </c>
      <c r="H12" s="153">
        <v>5417</v>
      </c>
    </row>
    <row r="13" spans="1:8" ht="15">
      <c r="A13" s="235" t="s">
        <v>28</v>
      </c>
      <c r="B13" s="241" t="s">
        <v>29</v>
      </c>
      <c r="C13" s="151">
        <v>2658</v>
      </c>
      <c r="D13" s="151">
        <v>760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18894</v>
      </c>
      <c r="D14" s="151">
        <v>7434</v>
      </c>
      <c r="E14" s="243" t="s">
        <v>34</v>
      </c>
      <c r="F14" s="242" t="s">
        <v>35</v>
      </c>
      <c r="G14" s="316">
        <v>-3</v>
      </c>
      <c r="H14" s="316"/>
    </row>
    <row r="15" spans="1:8" ht="15">
      <c r="A15" s="235" t="s">
        <v>36</v>
      </c>
      <c r="B15" s="241" t="s">
        <v>37</v>
      </c>
      <c r="C15" s="151">
        <v>4631</v>
      </c>
      <c r="D15" s="151">
        <v>4620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67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3661</v>
      </c>
      <c r="D17" s="151">
        <v>629</v>
      </c>
      <c r="E17" s="243" t="s">
        <v>46</v>
      </c>
      <c r="F17" s="245" t="s">
        <v>47</v>
      </c>
      <c r="G17" s="154">
        <f>G11+G14+G15+G16</f>
        <v>5414</v>
      </c>
      <c r="H17" s="154">
        <f>H11+H14+H15+H16</f>
        <v>5417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831</v>
      </c>
      <c r="D18" s="151">
        <v>315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93788</v>
      </c>
      <c r="D19" s="155">
        <f>SUM(D11:D18)</f>
        <v>66311</v>
      </c>
      <c r="E19" s="237" t="s">
        <v>53</v>
      </c>
      <c r="F19" s="242" t="s">
        <v>54</v>
      </c>
      <c r="G19" s="152">
        <v>9561</v>
      </c>
      <c r="H19" s="152">
        <v>9569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22738</v>
      </c>
      <c r="D20" s="151">
        <v>22556</v>
      </c>
      <c r="E20" s="237" t="s">
        <v>57</v>
      </c>
      <c r="F20" s="242" t="s">
        <v>58</v>
      </c>
      <c r="G20" s="152">
        <v>24357</v>
      </c>
      <c r="H20" s="152">
        <v>21720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24749</v>
      </c>
      <c r="H21" s="156">
        <f>SUM(H22:H24)</f>
        <v>24749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1373</v>
      </c>
      <c r="H22" s="152">
        <v>1373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32</v>
      </c>
      <c r="D24" s="151">
        <v>31</v>
      </c>
      <c r="E24" s="237" t="s">
        <v>72</v>
      </c>
      <c r="F24" s="242" t="s">
        <v>73</v>
      </c>
      <c r="G24" s="152">
        <v>23376</v>
      </c>
      <c r="H24" s="152">
        <v>23376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58667</v>
      </c>
      <c r="H25" s="154">
        <f>H19+H20+H21</f>
        <v>56038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21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53</v>
      </c>
      <c r="D27" s="155">
        <f>SUM(D23:D26)</f>
        <v>31</v>
      </c>
      <c r="E27" s="253" t="s">
        <v>83</v>
      </c>
      <c r="F27" s="242" t="s">
        <v>84</v>
      </c>
      <c r="G27" s="154">
        <f>SUM(G28:G30)</f>
        <v>52789</v>
      </c>
      <c r="H27" s="154">
        <f>SUM(H28:H30)</f>
        <v>55941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53157-368</f>
        <v>52789</v>
      </c>
      <c r="H28" s="152">
        <v>55941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226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-1208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51581</v>
      </c>
      <c r="H33" s="154">
        <f>H27+H31+H32</f>
        <v>56167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115662</v>
      </c>
      <c r="H36" s="154">
        <f>H25+H17+H33</f>
        <v>117622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2306</v>
      </c>
      <c r="H43" s="152">
        <v>829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3910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2134</v>
      </c>
      <c r="D47" s="151">
        <v>2223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341</v>
      </c>
      <c r="H48" s="152">
        <v>331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6557</v>
      </c>
      <c r="H49" s="154">
        <f>SUM(H43:H48)</f>
        <v>1160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2134</v>
      </c>
      <c r="D51" s="155">
        <f>SUM(D47:D50)</f>
        <v>2223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4759-517</f>
        <v>4242</v>
      </c>
      <c r="H53" s="152">
        <v>4202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118713</v>
      </c>
      <c r="D55" s="155">
        <f>D19+D20+D21+D27+D32+D45+D51+D53+D54</f>
        <v>91121</v>
      </c>
      <c r="E55" s="237" t="s">
        <v>172</v>
      </c>
      <c r="F55" s="261" t="s">
        <v>173</v>
      </c>
      <c r="G55" s="154">
        <f>G49+G51+G52+G53+G54</f>
        <v>10799</v>
      </c>
      <c r="H55" s="154">
        <f>H49+H51+H52+H53+H54</f>
        <v>5362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2171</v>
      </c>
      <c r="D58" s="151">
        <v>1945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40303</v>
      </c>
      <c r="H59" s="152">
        <v>38115</v>
      </c>
      <c r="M59" s="157"/>
    </row>
    <row r="60" spans="1:8" ht="15">
      <c r="A60" s="235" t="s">
        <v>183</v>
      </c>
      <c r="B60" s="241" t="s">
        <v>184</v>
      </c>
      <c r="C60" s="151">
        <v>43862</v>
      </c>
      <c r="D60" s="151">
        <v>45363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17718</v>
      </c>
      <c r="H61" s="154">
        <f>SUM(H62:H68)</f>
        <v>9115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2253</v>
      </c>
      <c r="H62" s="152">
        <v>144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46033</v>
      </c>
      <c r="D64" s="155">
        <f>SUM(D58:D63)</f>
        <v>47308</v>
      </c>
      <c r="E64" s="237" t="s">
        <v>200</v>
      </c>
      <c r="F64" s="242" t="s">
        <v>201</v>
      </c>
      <c r="G64" s="152">
        <v>10145</v>
      </c>
      <c r="H64" s="152">
        <v>6625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1789</v>
      </c>
      <c r="H65" s="152">
        <v>506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548</v>
      </c>
      <c r="H66" s="152">
        <v>479</v>
      </c>
    </row>
    <row r="67" spans="1:8" ht="15">
      <c r="A67" s="235" t="s">
        <v>207</v>
      </c>
      <c r="B67" s="241" t="s">
        <v>208</v>
      </c>
      <c r="C67" s="151">
        <v>3754</v>
      </c>
      <c r="D67" s="151">
        <v>22634</v>
      </c>
      <c r="E67" s="237" t="s">
        <v>209</v>
      </c>
      <c r="F67" s="242" t="s">
        <v>210</v>
      </c>
      <c r="G67" s="152">
        <v>140</v>
      </c>
      <c r="H67" s="152">
        <v>93</v>
      </c>
    </row>
    <row r="68" spans="1:8" ht="15">
      <c r="A68" s="235" t="s">
        <v>211</v>
      </c>
      <c r="B68" s="241" t="s">
        <v>212</v>
      </c>
      <c r="C68" s="151">
        <v>7564</v>
      </c>
      <c r="D68" s="151">
        <v>1746</v>
      </c>
      <c r="E68" s="237" t="s">
        <v>213</v>
      </c>
      <c r="F68" s="242" t="s">
        <v>214</v>
      </c>
      <c r="G68" s="152">
        <v>2843</v>
      </c>
      <c r="H68" s="152">
        <f>1268</f>
        <v>1268</v>
      </c>
    </row>
    <row r="69" spans="1:8" ht="15">
      <c r="A69" s="235" t="s">
        <v>215</v>
      </c>
      <c r="B69" s="241" t="s">
        <v>216</v>
      </c>
      <c r="C69" s="151">
        <v>2338</v>
      </c>
      <c r="D69" s="151">
        <v>2218</v>
      </c>
      <c r="E69" s="251" t="s">
        <v>78</v>
      </c>
      <c r="F69" s="242" t="s">
        <v>217</v>
      </c>
      <c r="G69" s="152">
        <v>402</v>
      </c>
      <c r="H69" s="152">
        <v>156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468</v>
      </c>
      <c r="H70" s="152">
        <v>468</v>
      </c>
    </row>
    <row r="71" spans="1:18" ht="15">
      <c r="A71" s="235" t="s">
        <v>222</v>
      </c>
      <c r="B71" s="241" t="s">
        <v>223</v>
      </c>
      <c r="C71" s="151">
        <v>1912</v>
      </c>
      <c r="D71" s="151">
        <v>1664</v>
      </c>
      <c r="E71" s="253" t="s">
        <v>46</v>
      </c>
      <c r="F71" s="273" t="s">
        <v>224</v>
      </c>
      <c r="G71" s="161">
        <f>G59+G60+G61+G69+G70</f>
        <v>58891</v>
      </c>
      <c r="H71" s="161">
        <f>H59+H60+H61+H69+H70</f>
        <v>47854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581</v>
      </c>
      <c r="D72" s="151">
        <v>177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312</v>
      </c>
      <c r="D74" s="151">
        <f>316+11</f>
        <v>327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16461</v>
      </c>
      <c r="D75" s="155">
        <f>SUM(D67:D74)</f>
        <v>28766</v>
      </c>
      <c r="E75" s="251" t="s">
        <v>160</v>
      </c>
      <c r="F75" s="245" t="s">
        <v>234</v>
      </c>
      <c r="G75" s="152">
        <v>41</v>
      </c>
      <c r="H75" s="152">
        <v>64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58932</v>
      </c>
      <c r="H79" s="162">
        <f>H71+H74+H75+H76</f>
        <v>47918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585</v>
      </c>
      <c r="D87" s="151">
        <v>349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123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2872</v>
      </c>
      <c r="D90" s="151">
        <v>3128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3580</v>
      </c>
      <c r="D91" s="155">
        <f>SUM(D87:D90)</f>
        <v>3477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606</v>
      </c>
      <c r="D92" s="151">
        <v>230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66680</v>
      </c>
      <c r="D93" s="155">
        <f>D64+D75+D84+D91+D92</f>
        <v>79781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185393</v>
      </c>
      <c r="D94" s="164">
        <f>D93+D55</f>
        <v>170902</v>
      </c>
      <c r="E94" s="449" t="s">
        <v>270</v>
      </c>
      <c r="F94" s="289" t="s">
        <v>271</v>
      </c>
      <c r="G94" s="165">
        <f>G36+G39+G55+G79</f>
        <v>185393</v>
      </c>
      <c r="H94" s="165">
        <f>H36+H39+H55+H79</f>
        <v>170902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0" t="s">
        <v>866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 customHeight="1">
      <c r="A100" s="173"/>
      <c r="B100" s="173"/>
      <c r="C100" s="580" t="s">
        <v>862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I31" sqref="I3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ТОПЛИВО АД</v>
      </c>
      <c r="C2" s="584"/>
      <c r="D2" s="584"/>
      <c r="E2" s="584"/>
      <c r="F2" s="586" t="s">
        <v>2</v>
      </c>
      <c r="G2" s="586"/>
      <c r="H2" s="526">
        <f>'справка №1-БАЛАНС'!H3</f>
        <v>831924394</v>
      </c>
    </row>
    <row r="3" spans="1:8" ht="15">
      <c r="A3" s="467" t="s">
        <v>274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256</v>
      </c>
    </row>
    <row r="4" spans="1:8" ht="17.25" customHeight="1">
      <c r="A4" s="467" t="s">
        <v>5</v>
      </c>
      <c r="B4" s="585" t="str">
        <f>'справка №1-БАЛАНС'!E5</f>
        <v>01.01-31.03.2016г.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340</v>
      </c>
      <c r="D9" s="46">
        <v>288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1446</v>
      </c>
      <c r="D10" s="46">
        <v>1050</v>
      </c>
      <c r="E10" s="298" t="s">
        <v>288</v>
      </c>
      <c r="F10" s="549" t="s">
        <v>289</v>
      </c>
      <c r="G10" s="550">
        <v>38452</v>
      </c>
      <c r="H10" s="575">
        <v>35804</v>
      </c>
    </row>
    <row r="11" spans="1:8" ht="12">
      <c r="A11" s="298" t="s">
        <v>290</v>
      </c>
      <c r="B11" s="299" t="s">
        <v>291</v>
      </c>
      <c r="C11" s="46">
        <v>1092</v>
      </c>
      <c r="D11" s="46">
        <v>802</v>
      </c>
      <c r="E11" s="300" t="s">
        <v>292</v>
      </c>
      <c r="F11" s="549" t="s">
        <v>293</v>
      </c>
      <c r="G11" s="550">
        <v>547</v>
      </c>
      <c r="H11" s="575">
        <v>143</v>
      </c>
    </row>
    <row r="12" spans="1:8" ht="12">
      <c r="A12" s="298" t="s">
        <v>294</v>
      </c>
      <c r="B12" s="299" t="s">
        <v>295</v>
      </c>
      <c r="C12" s="46">
        <v>1931</v>
      </c>
      <c r="D12" s="46">
        <v>1229</v>
      </c>
      <c r="E12" s="300" t="s">
        <v>78</v>
      </c>
      <c r="F12" s="549" t="s">
        <v>296</v>
      </c>
      <c r="G12" s="550">
        <v>2758</v>
      </c>
      <c r="H12" s="575">
        <v>569</v>
      </c>
    </row>
    <row r="13" spans="1:18" ht="12">
      <c r="A13" s="298" t="s">
        <v>297</v>
      </c>
      <c r="B13" s="299" t="s">
        <v>298</v>
      </c>
      <c r="C13" s="46">
        <v>354</v>
      </c>
      <c r="D13" s="46">
        <v>224</v>
      </c>
      <c r="E13" s="301" t="s">
        <v>51</v>
      </c>
      <c r="F13" s="551" t="s">
        <v>299</v>
      </c>
      <c r="G13" s="548">
        <f>SUM(G9:G12)</f>
        <v>41757</v>
      </c>
      <c r="H13" s="548">
        <f>SUM(H9:H12)</f>
        <v>36516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36626</v>
      </c>
      <c r="D14" s="46">
        <v>33058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356</v>
      </c>
      <c r="D16" s="47">
        <v>552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42145</v>
      </c>
      <c r="D19" s="49">
        <f>SUM(D9:D15)+D16</f>
        <v>37203</v>
      </c>
      <c r="E19" s="304" t="s">
        <v>316</v>
      </c>
      <c r="F19" s="552" t="s">
        <v>317</v>
      </c>
      <c r="G19" s="550">
        <v>17</v>
      </c>
      <c r="H19" s="575">
        <v>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75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75"/>
    </row>
    <row r="22" spans="1:8" ht="24">
      <c r="A22" s="304" t="s">
        <v>323</v>
      </c>
      <c r="B22" s="305" t="s">
        <v>324</v>
      </c>
      <c r="C22" s="46">
        <v>573</v>
      </c>
      <c r="D22" s="46">
        <v>521</v>
      </c>
      <c r="E22" s="304" t="s">
        <v>325</v>
      </c>
      <c r="F22" s="552" t="s">
        <v>326</v>
      </c>
      <c r="G22" s="550"/>
      <c r="H22" s="575">
        <v>570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75"/>
    </row>
    <row r="24" spans="1:18" ht="12">
      <c r="A24" s="298" t="s">
        <v>331</v>
      </c>
      <c r="B24" s="305" t="s">
        <v>332</v>
      </c>
      <c r="C24" s="46">
        <v>179</v>
      </c>
      <c r="D24" s="46">
        <v>7</v>
      </c>
      <c r="E24" s="301" t="s">
        <v>103</v>
      </c>
      <c r="F24" s="554" t="s">
        <v>333</v>
      </c>
      <c r="G24" s="548">
        <f>SUM(G19:G23)</f>
        <v>17</v>
      </c>
      <c r="H24" s="548">
        <f>SUM(H19:H23)</f>
        <v>627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125</v>
      </c>
      <c r="D25" s="46">
        <v>86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877</v>
      </c>
      <c r="D26" s="49">
        <f>SUM(D22:D25)</f>
        <v>614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43022</v>
      </c>
      <c r="D28" s="50">
        <f>D26+D19</f>
        <v>37817</v>
      </c>
      <c r="E28" s="127" t="s">
        <v>338</v>
      </c>
      <c r="F28" s="554" t="s">
        <v>339</v>
      </c>
      <c r="G28" s="548">
        <f>G13+G15+G24</f>
        <v>41774</v>
      </c>
      <c r="H28" s="548">
        <f>H13+H15+H24</f>
        <v>37143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1248</v>
      </c>
      <c r="H30" s="53">
        <f>IF((D28-H28)&gt;0,D28-H28,0)</f>
        <v>674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6</v>
      </c>
      <c r="H32" s="550"/>
    </row>
    <row r="33" spans="1:18" ht="12">
      <c r="A33" s="128" t="s">
        <v>350</v>
      </c>
      <c r="B33" s="306" t="s">
        <v>351</v>
      </c>
      <c r="C33" s="49">
        <f>C28-C31+C32</f>
        <v>43022</v>
      </c>
      <c r="D33" s="49">
        <f>D28-D31+D32</f>
        <v>37817</v>
      </c>
      <c r="E33" s="127" t="s">
        <v>352</v>
      </c>
      <c r="F33" s="554" t="s">
        <v>353</v>
      </c>
      <c r="G33" s="53">
        <f>G32-G31+G28</f>
        <v>41780</v>
      </c>
      <c r="H33" s="53">
        <f>H32-H31+H28</f>
        <v>37143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1242</v>
      </c>
      <c r="H34" s="548">
        <f>IF((D33-H33)&gt;0,D33-H33,0)</f>
        <v>674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-34</v>
      </c>
      <c r="D35" s="49">
        <f>D36+D37+D38</f>
        <v>-9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-34</v>
      </c>
      <c r="D37" s="430">
        <v>-9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1208</v>
      </c>
      <c r="H39" s="559">
        <f>IF(H34&gt;0,IF(D35+H34&lt;0,0,D35+H34),IF(D34-D35&lt;0,D35-D34,0))</f>
        <v>665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1208</v>
      </c>
      <c r="H41" s="52">
        <f>IF(D39=0,IF(H39-H40&gt;0,H39-H40+D40,0),IF(D39-D40&lt;0,D40-D39+H40,0))</f>
        <v>665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42988</v>
      </c>
      <c r="D42" s="53">
        <f>D33+D35+D39</f>
        <v>37808</v>
      </c>
      <c r="E42" s="128" t="s">
        <v>379</v>
      </c>
      <c r="F42" s="129" t="s">
        <v>380</v>
      </c>
      <c r="G42" s="53">
        <f>G39+G33</f>
        <v>42988</v>
      </c>
      <c r="H42" s="53">
        <f>H39+H33</f>
        <v>37808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818</v>
      </c>
      <c r="D48" s="582" t="s">
        <v>867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3" t="s">
        <v>868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G7" sqref="F7:G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ТОПЛИВО АД</v>
      </c>
      <c r="C4" s="541" t="s">
        <v>2</v>
      </c>
      <c r="D4" s="541">
        <f>'справка №1-БАЛАНС'!H3</f>
        <v>831924394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256</v>
      </c>
    </row>
    <row r="6" spans="1:6" ht="12" customHeight="1">
      <c r="A6" s="471" t="s">
        <v>5</v>
      </c>
      <c r="B6" s="506" t="str">
        <f>'справка №1-БАЛАНС'!E5</f>
        <v>01.01-31.03.2016г.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48180</v>
      </c>
      <c r="D10" s="54">
        <v>40095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-36104</v>
      </c>
      <c r="D11" s="54">
        <v>-33153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-2315</v>
      </c>
      <c r="D13" s="54">
        <v>-1536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-8162</v>
      </c>
      <c r="D14" s="54">
        <v>-5594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-324</v>
      </c>
      <c r="D15" s="54">
        <v>-275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-90</v>
      </c>
      <c r="D17" s="54">
        <v>-103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-31</v>
      </c>
      <c r="D18" s="54">
        <v>25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1154</v>
      </c>
      <c r="D20" s="55">
        <f>SUM(D10:D19)</f>
        <v>-541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-3137</v>
      </c>
      <c r="D22" s="54">
        <v>-173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4279</v>
      </c>
      <c r="D23" s="54">
        <v>52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>
        <v>159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1142</v>
      </c>
      <c r="D32" s="55">
        <f>SUM(D22:D31)</f>
        <v>38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-4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26465</v>
      </c>
      <c r="D36" s="54">
        <v>23308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-28351</v>
      </c>
      <c r="D37" s="54">
        <v>-23109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-628</v>
      </c>
      <c r="D39" s="54">
        <v>-585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-2523</v>
      </c>
      <c r="D42" s="55">
        <f>SUM(D34:D41)</f>
        <v>-386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-227</v>
      </c>
      <c r="D43" s="55">
        <f>D42+D32+D20</f>
        <v>-889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3807</v>
      </c>
      <c r="D44" s="132">
        <v>3888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3580</v>
      </c>
      <c r="D45" s="55">
        <f>D44+D43</f>
        <v>2999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585</v>
      </c>
      <c r="D46" s="56">
        <v>425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2995</v>
      </c>
      <c r="D47" s="56">
        <v>2574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I28" sqref="I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ТОПЛИВО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831924394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256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01.01-31.03.2016г.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5417</v>
      </c>
      <c r="D11" s="58">
        <f>'справка №1-БАЛАНС'!H19</f>
        <v>9569</v>
      </c>
      <c r="E11" s="58">
        <f>'справка №1-БАЛАНС'!H20</f>
        <v>21720</v>
      </c>
      <c r="F11" s="58">
        <f>'справка №1-БАЛАНС'!H22</f>
        <v>1373</v>
      </c>
      <c r="G11" s="58">
        <f>'справка №1-БАЛАНС'!H23</f>
        <v>0</v>
      </c>
      <c r="H11" s="60">
        <f>'справка №1-БАЛАНС'!G24</f>
        <v>23376</v>
      </c>
      <c r="I11" s="58">
        <f>'справка №1-БАЛАНС'!H28+'справка №1-БАЛАНС'!H31</f>
        <v>56167</v>
      </c>
      <c r="J11" s="58">
        <f>'справка №1-БАЛАНС'!H29+'справка №1-БАЛАНС'!H32</f>
        <v>0</v>
      </c>
      <c r="K11" s="60"/>
      <c r="L11" s="344">
        <f>SUM(C11:K11)</f>
        <v>117622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5417</v>
      </c>
      <c r="D15" s="61">
        <f aca="true" t="shared" si="2" ref="D15:M15">D11+D12</f>
        <v>9569</v>
      </c>
      <c r="E15" s="61">
        <f t="shared" si="2"/>
        <v>21720</v>
      </c>
      <c r="F15" s="61">
        <f t="shared" si="2"/>
        <v>1373</v>
      </c>
      <c r="G15" s="61">
        <f t="shared" si="2"/>
        <v>0</v>
      </c>
      <c r="H15" s="61">
        <f t="shared" si="2"/>
        <v>23376</v>
      </c>
      <c r="I15" s="61">
        <f t="shared" si="2"/>
        <v>56167</v>
      </c>
      <c r="J15" s="61">
        <f t="shared" si="2"/>
        <v>0</v>
      </c>
      <c r="K15" s="61">
        <f t="shared" si="2"/>
        <v>0</v>
      </c>
      <c r="L15" s="344">
        <f t="shared" si="1"/>
        <v>117622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-1208</v>
      </c>
      <c r="K16" s="60"/>
      <c r="L16" s="344">
        <f t="shared" si="1"/>
        <v>-1208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f>-3</f>
        <v>-3</v>
      </c>
      <c r="D28" s="60">
        <v>-8</v>
      </c>
      <c r="E28" s="60">
        <f>3010-373</f>
        <v>2637</v>
      </c>
      <c r="F28" s="60"/>
      <c r="G28" s="60"/>
      <c r="H28" s="60"/>
      <c r="I28" s="60">
        <f>13+373-3396-368</f>
        <v>-3378</v>
      </c>
      <c r="J28" s="60"/>
      <c r="K28" s="60"/>
      <c r="L28" s="344">
        <f t="shared" si="1"/>
        <v>-752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5414</v>
      </c>
      <c r="D29" s="59">
        <f aca="true" t="shared" si="6" ref="D29:M29">D17+D20+D21+D24+D28+D27+D15+D16</f>
        <v>9561</v>
      </c>
      <c r="E29" s="59">
        <f t="shared" si="6"/>
        <v>24357</v>
      </c>
      <c r="F29" s="59">
        <f t="shared" si="6"/>
        <v>1373</v>
      </c>
      <c r="G29" s="59">
        <f t="shared" si="6"/>
        <v>0</v>
      </c>
      <c r="H29" s="59">
        <f t="shared" si="6"/>
        <v>23376</v>
      </c>
      <c r="I29" s="59">
        <f t="shared" si="6"/>
        <v>52789</v>
      </c>
      <c r="J29" s="59">
        <f t="shared" si="6"/>
        <v>-1208</v>
      </c>
      <c r="K29" s="59">
        <f t="shared" si="6"/>
        <v>0</v>
      </c>
      <c r="L29" s="344">
        <f t="shared" si="1"/>
        <v>115662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5414</v>
      </c>
      <c r="D32" s="59">
        <f t="shared" si="7"/>
        <v>9561</v>
      </c>
      <c r="E32" s="59">
        <f t="shared" si="7"/>
        <v>24357</v>
      </c>
      <c r="F32" s="59">
        <f t="shared" si="7"/>
        <v>1373</v>
      </c>
      <c r="G32" s="59">
        <f t="shared" si="7"/>
        <v>0</v>
      </c>
      <c r="H32" s="59">
        <f t="shared" si="7"/>
        <v>23376</v>
      </c>
      <c r="I32" s="59">
        <f t="shared" si="7"/>
        <v>52789</v>
      </c>
      <c r="J32" s="59">
        <f t="shared" si="7"/>
        <v>-1208</v>
      </c>
      <c r="K32" s="59">
        <f t="shared" si="7"/>
        <v>0</v>
      </c>
      <c r="L32" s="344">
        <f t="shared" si="1"/>
        <v>115662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866</v>
      </c>
      <c r="E38" s="590"/>
      <c r="F38" s="590"/>
      <c r="G38" s="590"/>
      <c r="H38" s="590"/>
      <c r="I38" s="590"/>
      <c r="J38" s="15" t="s">
        <v>869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15" sqref="F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383</v>
      </c>
      <c r="B2" s="602"/>
      <c r="C2" s="603" t="str">
        <f>'справка №1-БАЛАНС'!E3</f>
        <v>ТОПЛИВО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831924394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01.01-31.03.2016г.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256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44745</v>
      </c>
      <c r="E9" s="189">
        <v>77</v>
      </c>
      <c r="F9" s="189">
        <v>867</v>
      </c>
      <c r="G9" s="74">
        <f>D9+E9-F9</f>
        <v>43955</v>
      </c>
      <c r="H9" s="65"/>
      <c r="I9" s="65"/>
      <c r="J9" s="74">
        <f>G9+H9-I9</f>
        <v>43955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43955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29686</v>
      </c>
      <c r="E10" s="189">
        <v>697</v>
      </c>
      <c r="F10" s="189">
        <v>885</v>
      </c>
      <c r="G10" s="74">
        <f aca="true" t="shared" si="2" ref="G10:G39">D10+E10-F10</f>
        <v>29498</v>
      </c>
      <c r="H10" s="65"/>
      <c r="I10" s="65"/>
      <c r="J10" s="74">
        <f aca="true" t="shared" si="3" ref="J10:J39">G10+H10-I10</f>
        <v>29498</v>
      </c>
      <c r="K10" s="65">
        <v>10260</v>
      </c>
      <c r="L10" s="65">
        <v>282</v>
      </c>
      <c r="M10" s="65">
        <v>135</v>
      </c>
      <c r="N10" s="74">
        <f aca="true" t="shared" si="4" ref="N10:N39">K10+L10-M10</f>
        <v>10407</v>
      </c>
      <c r="O10" s="65"/>
      <c r="P10" s="65"/>
      <c r="Q10" s="74">
        <f t="shared" si="0"/>
        <v>10407</v>
      </c>
      <c r="R10" s="74">
        <f t="shared" si="1"/>
        <v>19091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10182</v>
      </c>
      <c r="E11" s="189">
        <v>98</v>
      </c>
      <c r="F11" s="189">
        <v>73</v>
      </c>
      <c r="G11" s="74">
        <f t="shared" si="2"/>
        <v>10207</v>
      </c>
      <c r="H11" s="65"/>
      <c r="I11" s="65"/>
      <c r="J11" s="74">
        <f t="shared" si="3"/>
        <v>10207</v>
      </c>
      <c r="K11" s="65">
        <v>7449</v>
      </c>
      <c r="L11" s="65">
        <v>151</v>
      </c>
      <c r="M11" s="65">
        <v>51</v>
      </c>
      <c r="N11" s="74">
        <f t="shared" si="4"/>
        <v>7549</v>
      </c>
      <c r="O11" s="65"/>
      <c r="P11" s="65"/>
      <c r="Q11" s="74">
        <f t="shared" si="0"/>
        <v>7549</v>
      </c>
      <c r="R11" s="74">
        <f t="shared" si="1"/>
        <v>2658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31670</v>
      </c>
      <c r="E12" s="189">
        <v>38</v>
      </c>
      <c r="F12" s="189">
        <v>161</v>
      </c>
      <c r="G12" s="74">
        <f t="shared" si="2"/>
        <v>31547</v>
      </c>
      <c r="H12" s="65"/>
      <c r="I12" s="65"/>
      <c r="J12" s="74">
        <f t="shared" si="3"/>
        <v>31547</v>
      </c>
      <c r="K12" s="65">
        <v>12350</v>
      </c>
      <c r="L12" s="65">
        <v>371</v>
      </c>
      <c r="M12" s="65">
        <v>68</v>
      </c>
      <c r="N12" s="74">
        <f t="shared" si="4"/>
        <v>12653</v>
      </c>
      <c r="O12" s="65"/>
      <c r="P12" s="65"/>
      <c r="Q12" s="74">
        <f t="shared" si="0"/>
        <v>12653</v>
      </c>
      <c r="R12" s="74">
        <f t="shared" si="1"/>
        <v>18894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14237</v>
      </c>
      <c r="E13" s="189">
        <v>183</v>
      </c>
      <c r="F13" s="189">
        <v>46</v>
      </c>
      <c r="G13" s="74">
        <f t="shared" si="2"/>
        <v>14374</v>
      </c>
      <c r="H13" s="65"/>
      <c r="I13" s="65"/>
      <c r="J13" s="74">
        <f t="shared" si="3"/>
        <v>14374</v>
      </c>
      <c r="K13" s="65">
        <v>9556</v>
      </c>
      <c r="L13" s="65">
        <v>231</v>
      </c>
      <c r="M13" s="65">
        <v>44</v>
      </c>
      <c r="N13" s="74">
        <f t="shared" si="4"/>
        <v>9743</v>
      </c>
      <c r="O13" s="65"/>
      <c r="P13" s="65"/>
      <c r="Q13" s="74">
        <f t="shared" si="0"/>
        <v>9743</v>
      </c>
      <c r="R13" s="74">
        <f t="shared" si="1"/>
        <v>4631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416</v>
      </c>
      <c r="E14" s="189">
        <v>11</v>
      </c>
      <c r="F14" s="189">
        <v>14</v>
      </c>
      <c r="G14" s="74">
        <f t="shared" si="2"/>
        <v>413</v>
      </c>
      <c r="H14" s="65"/>
      <c r="I14" s="65"/>
      <c r="J14" s="74">
        <f t="shared" si="3"/>
        <v>413</v>
      </c>
      <c r="K14" s="65">
        <v>352</v>
      </c>
      <c r="L14" s="65">
        <v>8</v>
      </c>
      <c r="M14" s="65">
        <v>14</v>
      </c>
      <c r="N14" s="74">
        <f t="shared" si="4"/>
        <v>346</v>
      </c>
      <c r="O14" s="65"/>
      <c r="P14" s="65"/>
      <c r="Q14" s="74">
        <f t="shared" si="0"/>
        <v>346</v>
      </c>
      <c r="R14" s="74">
        <f t="shared" si="1"/>
        <v>67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706</v>
      </c>
      <c r="E15" s="457">
        <f>3392-23</f>
        <v>3369</v>
      </c>
      <c r="F15" s="457">
        <f>437-23</f>
        <v>414</v>
      </c>
      <c r="G15" s="74">
        <f t="shared" si="2"/>
        <v>3661</v>
      </c>
      <c r="H15" s="458"/>
      <c r="I15" s="458"/>
      <c r="J15" s="74">
        <f t="shared" si="3"/>
        <v>3661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3661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3391</v>
      </c>
      <c r="E16" s="189">
        <v>42</v>
      </c>
      <c r="F16" s="189">
        <v>2</v>
      </c>
      <c r="G16" s="74">
        <f t="shared" si="2"/>
        <v>3431</v>
      </c>
      <c r="H16" s="65"/>
      <c r="I16" s="65"/>
      <c r="J16" s="74">
        <f t="shared" si="3"/>
        <v>3431</v>
      </c>
      <c r="K16" s="65">
        <v>2559</v>
      </c>
      <c r="L16" s="65">
        <v>43</v>
      </c>
      <c r="M16" s="65">
        <v>2</v>
      </c>
      <c r="N16" s="74">
        <f t="shared" si="4"/>
        <v>2600</v>
      </c>
      <c r="O16" s="65"/>
      <c r="P16" s="65"/>
      <c r="Q16" s="74">
        <f aca="true" t="shared" si="5" ref="Q16:Q25">N16+O16-P16</f>
        <v>2600</v>
      </c>
      <c r="R16" s="74">
        <f aca="true" t="shared" si="6" ref="R16:R25">J16-Q16</f>
        <v>831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135033</v>
      </c>
      <c r="E17" s="194">
        <f>SUM(E9:E16)</f>
        <v>4515</v>
      </c>
      <c r="F17" s="194">
        <f>SUM(F9:F16)</f>
        <v>2462</v>
      </c>
      <c r="G17" s="74">
        <f t="shared" si="2"/>
        <v>137086</v>
      </c>
      <c r="H17" s="75">
        <f>SUM(H9:H16)</f>
        <v>0</v>
      </c>
      <c r="I17" s="75">
        <f>SUM(I9:I16)</f>
        <v>0</v>
      </c>
      <c r="J17" s="74">
        <f t="shared" si="3"/>
        <v>137086</v>
      </c>
      <c r="K17" s="75">
        <f>SUM(K9:K16)</f>
        <v>42526</v>
      </c>
      <c r="L17" s="75">
        <f>SUM(L9:L16)</f>
        <v>1086</v>
      </c>
      <c r="M17" s="75">
        <f>SUM(M9:M16)</f>
        <v>314</v>
      </c>
      <c r="N17" s="74">
        <f t="shared" si="4"/>
        <v>43298</v>
      </c>
      <c r="O17" s="75">
        <f>SUM(O9:O16)</f>
        <v>0</v>
      </c>
      <c r="P17" s="75">
        <f>SUM(P9:P16)</f>
        <v>0</v>
      </c>
      <c r="Q17" s="74">
        <f t="shared" si="5"/>
        <v>43298</v>
      </c>
      <c r="R17" s="74">
        <f t="shared" si="6"/>
        <v>93788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22883</v>
      </c>
      <c r="E18" s="187">
        <v>612</v>
      </c>
      <c r="F18" s="187">
        <v>757</v>
      </c>
      <c r="G18" s="74">
        <f t="shared" si="2"/>
        <v>22738</v>
      </c>
      <c r="H18" s="63"/>
      <c r="I18" s="63"/>
      <c r="J18" s="74">
        <f t="shared" si="3"/>
        <v>22738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22738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359</v>
      </c>
      <c r="E22" s="189"/>
      <c r="F22" s="189"/>
      <c r="G22" s="74">
        <f t="shared" si="2"/>
        <v>359</v>
      </c>
      <c r="H22" s="65"/>
      <c r="I22" s="65"/>
      <c r="J22" s="74">
        <f t="shared" si="3"/>
        <v>359</v>
      </c>
      <c r="K22" s="65">
        <v>322</v>
      </c>
      <c r="L22" s="65">
        <v>5</v>
      </c>
      <c r="M22" s="65"/>
      <c r="N22" s="74">
        <f t="shared" si="4"/>
        <v>327</v>
      </c>
      <c r="O22" s="65"/>
      <c r="P22" s="65"/>
      <c r="Q22" s="74">
        <f t="shared" si="5"/>
        <v>327</v>
      </c>
      <c r="R22" s="74">
        <f t="shared" si="6"/>
        <v>32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162</v>
      </c>
      <c r="E24" s="189"/>
      <c r="F24" s="189"/>
      <c r="G24" s="74">
        <f t="shared" si="2"/>
        <v>162</v>
      </c>
      <c r="H24" s="65"/>
      <c r="I24" s="65"/>
      <c r="J24" s="74">
        <f t="shared" si="3"/>
        <v>162</v>
      </c>
      <c r="K24" s="65">
        <v>140</v>
      </c>
      <c r="L24" s="65">
        <v>1</v>
      </c>
      <c r="M24" s="65"/>
      <c r="N24" s="74">
        <f t="shared" si="4"/>
        <v>141</v>
      </c>
      <c r="O24" s="65"/>
      <c r="P24" s="65"/>
      <c r="Q24" s="74">
        <f t="shared" si="5"/>
        <v>141</v>
      </c>
      <c r="R24" s="74">
        <f t="shared" si="6"/>
        <v>21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521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521</v>
      </c>
      <c r="H25" s="66">
        <f t="shared" si="7"/>
        <v>0</v>
      </c>
      <c r="I25" s="66">
        <f t="shared" si="7"/>
        <v>0</v>
      </c>
      <c r="J25" s="67">
        <f t="shared" si="3"/>
        <v>521</v>
      </c>
      <c r="K25" s="66">
        <f t="shared" si="7"/>
        <v>462</v>
      </c>
      <c r="L25" s="66">
        <f t="shared" si="7"/>
        <v>6</v>
      </c>
      <c r="M25" s="66">
        <f t="shared" si="7"/>
        <v>0</v>
      </c>
      <c r="N25" s="67">
        <f t="shared" si="4"/>
        <v>468</v>
      </c>
      <c r="O25" s="66">
        <f t="shared" si="7"/>
        <v>0</v>
      </c>
      <c r="P25" s="66">
        <f t="shared" si="7"/>
        <v>0</v>
      </c>
      <c r="Q25" s="67">
        <f t="shared" si="5"/>
        <v>468</v>
      </c>
      <c r="R25" s="67">
        <f t="shared" si="6"/>
        <v>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158437</v>
      </c>
      <c r="E40" s="438">
        <f>E17+E18+E19+E25+E38+E39</f>
        <v>5127</v>
      </c>
      <c r="F40" s="438">
        <f aca="true" t="shared" si="13" ref="F40:R40">F17+F18+F19+F25+F38+F39</f>
        <v>3219</v>
      </c>
      <c r="G40" s="438">
        <f t="shared" si="13"/>
        <v>160345</v>
      </c>
      <c r="H40" s="438">
        <f t="shared" si="13"/>
        <v>0</v>
      </c>
      <c r="I40" s="438">
        <f t="shared" si="13"/>
        <v>0</v>
      </c>
      <c r="J40" s="438">
        <f t="shared" si="13"/>
        <v>160345</v>
      </c>
      <c r="K40" s="438">
        <f t="shared" si="13"/>
        <v>42988</v>
      </c>
      <c r="L40" s="438">
        <f t="shared" si="13"/>
        <v>1092</v>
      </c>
      <c r="M40" s="438">
        <f t="shared" si="13"/>
        <v>314</v>
      </c>
      <c r="N40" s="438">
        <f t="shared" si="13"/>
        <v>43766</v>
      </c>
      <c r="O40" s="438">
        <f t="shared" si="13"/>
        <v>0</v>
      </c>
      <c r="P40" s="438">
        <f t="shared" si="13"/>
        <v>0</v>
      </c>
      <c r="Q40" s="438">
        <f t="shared" si="13"/>
        <v>43766</v>
      </c>
      <c r="R40" s="438">
        <f t="shared" si="13"/>
        <v>116579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596"/>
      <c r="L44" s="596"/>
      <c r="M44" s="596"/>
      <c r="N44" s="596"/>
      <c r="O44" s="597" t="s">
        <v>862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F80" sqref="F8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ТОПЛИВО АД</v>
      </c>
      <c r="C3" s="619"/>
      <c r="D3" s="526" t="s">
        <v>2</v>
      </c>
      <c r="E3" s="107">
        <f>'справка №1-БАЛАНС'!H3</f>
        <v>831924394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01.01-31.03.2016г.</v>
      </c>
      <c r="C4" s="617"/>
      <c r="D4" s="527" t="s">
        <v>4</v>
      </c>
      <c r="E4" s="107">
        <f>'справка №1-БАЛАНС'!H4</f>
        <v>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2134</v>
      </c>
      <c r="D11" s="119">
        <f>SUM(D12:D14)</f>
        <v>0</v>
      </c>
      <c r="E11" s="120">
        <f>SUM(E12:E14)</f>
        <v>2134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2134</v>
      </c>
      <c r="D12" s="108"/>
      <c r="E12" s="120">
        <f aca="true" t="shared" si="0" ref="E12:E42">C12-D12</f>
        <v>2134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2134</v>
      </c>
      <c r="D19" s="104">
        <f>D11+D15+D16</f>
        <v>0</v>
      </c>
      <c r="E19" s="118">
        <f>E11+E15+E16</f>
        <v>2134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3754</v>
      </c>
      <c r="D24" s="119">
        <f>SUM(D25:D27)</f>
        <v>3754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1896</v>
      </c>
      <c r="D25" s="108">
        <v>1896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1858</v>
      </c>
      <c r="D26" s="108">
        <v>1858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7564</v>
      </c>
      <c r="D28" s="108">
        <v>7564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2338</v>
      </c>
      <c r="D29" s="108">
        <v>2338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158</v>
      </c>
      <c r="D31" s="108">
        <v>158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1754</v>
      </c>
      <c r="D32" s="108">
        <v>1754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581</v>
      </c>
      <c r="D33" s="105">
        <f>SUM(D34:D37)</f>
        <v>581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517</v>
      </c>
      <c r="D35" s="108">
        <v>517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64</v>
      </c>
      <c r="D37" s="108">
        <v>64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312</v>
      </c>
      <c r="D38" s="105">
        <f>SUM(D39:D42)</f>
        <v>312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47</v>
      </c>
      <c r="D39" s="108">
        <v>47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265</v>
      </c>
      <c r="D42" s="108">
        <v>265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16461</v>
      </c>
      <c r="D43" s="104">
        <f>D24+D28+D29+D31+D30+D32+D33+D38</f>
        <v>16461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18595</v>
      </c>
      <c r="D44" s="103">
        <f>D43+D21+D19+D9</f>
        <v>16461</v>
      </c>
      <c r="E44" s="118">
        <f>E43+E21+E19+E9</f>
        <v>2134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2306</v>
      </c>
      <c r="D52" s="103">
        <f>SUM(D53:D55)</f>
        <v>0</v>
      </c>
      <c r="E52" s="119">
        <f>C52-D52</f>
        <v>2306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2306</v>
      </c>
      <c r="D53" s="108"/>
      <c r="E53" s="119">
        <f>C53-D53</f>
        <v>2306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3910</v>
      </c>
      <c r="D56" s="103">
        <f>D57+D59</f>
        <v>0</v>
      </c>
      <c r="E56" s="119">
        <f t="shared" si="1"/>
        <v>3910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3910</v>
      </c>
      <c r="D57" s="108"/>
      <c r="E57" s="119">
        <f t="shared" si="1"/>
        <v>3910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341</v>
      </c>
      <c r="D64" s="108"/>
      <c r="E64" s="119">
        <f t="shared" si="1"/>
        <v>341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6557</v>
      </c>
      <c r="D66" s="103">
        <f>D52+D56+D61+D62+D63+D64</f>
        <v>0</v>
      </c>
      <c r="E66" s="119">
        <f t="shared" si="1"/>
        <v>6557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4242</v>
      </c>
      <c r="D68" s="108">
        <v>4242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2253</v>
      </c>
      <c r="D71" s="105">
        <f>SUM(D72:D74)</f>
        <v>2253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2253</v>
      </c>
      <c r="D72" s="108">
        <v>2253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40303</v>
      </c>
      <c r="D75" s="103">
        <f>D76+D78</f>
        <v>40303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40303</v>
      </c>
      <c r="D76" s="108">
        <v>40303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15465</v>
      </c>
      <c r="D85" s="104">
        <f>SUM(D86:D90)+D94</f>
        <v>15465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10145</v>
      </c>
      <c r="D87" s="108">
        <v>10145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1789</v>
      </c>
      <c r="D88" s="108">
        <v>1789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548</v>
      </c>
      <c r="D89" s="108">
        <v>548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2843</v>
      </c>
      <c r="D90" s="103">
        <f>SUM(D91:D93)</f>
        <v>2843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416</v>
      </c>
      <c r="D92" s="108">
        <v>416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2427</v>
      </c>
      <c r="D93" s="108">
        <v>2427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140</v>
      </c>
      <c r="D94" s="108">
        <v>140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402</v>
      </c>
      <c r="D95" s="108">
        <v>402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58423</v>
      </c>
      <c r="D96" s="104">
        <f>D85+D80+D75+D71+D95</f>
        <v>58423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69222</v>
      </c>
      <c r="D97" s="104">
        <f>D96+D68+D66</f>
        <v>62665</v>
      </c>
      <c r="E97" s="104">
        <f>E96+E68+E66</f>
        <v>6557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468</v>
      </c>
      <c r="D104" s="108"/>
      <c r="E104" s="108"/>
      <c r="F104" s="125">
        <f>C104+D104-E104</f>
        <v>468</v>
      </c>
    </row>
    <row r="105" spans="1:16" ht="12">
      <c r="A105" s="412" t="s">
        <v>775</v>
      </c>
      <c r="B105" s="395" t="s">
        <v>776</v>
      </c>
      <c r="C105" s="103">
        <f>SUM(C102:C104)</f>
        <v>468</v>
      </c>
      <c r="D105" s="103">
        <f>SUM(D102:D104)</f>
        <v>0</v>
      </c>
      <c r="E105" s="103">
        <f>SUM(E102:E104)</f>
        <v>0</v>
      </c>
      <c r="F105" s="103">
        <f>SUM(F102:F104)</f>
        <v>468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779</v>
      </c>
      <c r="B109" s="613"/>
      <c r="C109" s="613" t="s">
        <v>866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ТОПЛИВО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831924394</v>
      </c>
    </row>
    <row r="5" spans="1:9" ht="15">
      <c r="A5" s="501" t="s">
        <v>5</v>
      </c>
      <c r="B5" s="621" t="str">
        <f>'справка №1-БАЛАНС'!E5</f>
        <v>01.01-31.03.2016г.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779</v>
      </c>
      <c r="B30" s="623"/>
      <c r="C30" s="623"/>
      <c r="D30" s="459" t="s">
        <v>818</v>
      </c>
      <c r="E30" s="622" t="s">
        <v>867</v>
      </c>
      <c r="F30" s="622"/>
      <c r="G30" s="622"/>
      <c r="H30" s="420" t="s">
        <v>780</v>
      </c>
      <c r="I30" s="622" t="s">
        <v>868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0">
      <selection activeCell="C154" sqref="C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ТОПЛИВО АД</v>
      </c>
      <c r="C5" s="627"/>
      <c r="D5" s="627"/>
      <c r="E5" s="570" t="s">
        <v>2</v>
      </c>
      <c r="F5" s="451">
        <f>'справка №1-БАЛАНС'!H3</f>
        <v>831924394</v>
      </c>
    </row>
    <row r="6" spans="1:13" ht="15" customHeight="1">
      <c r="A6" s="27" t="s">
        <v>821</v>
      </c>
      <c r="B6" s="628" t="str">
        <f>'справка №1-БАЛАНС'!E5</f>
        <v>01.01-31.03.2016г.</v>
      </c>
      <c r="C6" s="628"/>
      <c r="D6" s="510"/>
      <c r="E6" s="569" t="s">
        <v>4</v>
      </c>
      <c r="F6" s="511">
        <f>'справка №1-БАЛАНС'!H4</f>
        <v>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848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petia</cp:lastModifiedBy>
  <cp:lastPrinted>2016-05-17T11:09:19Z</cp:lastPrinted>
  <dcterms:created xsi:type="dcterms:W3CDTF">2000-06-29T12:02:40Z</dcterms:created>
  <dcterms:modified xsi:type="dcterms:W3CDTF">2016-05-30T13:22:46Z</dcterms:modified>
  <cp:category/>
  <cp:version/>
  <cp:contentType/>
  <cp:contentStatus/>
</cp:coreProperties>
</file>